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<sst xmlns="http://schemas.openxmlformats.org/spreadsheetml/2006/main" count="1360" uniqueCount="298">
  <si>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</si>
  <si>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</si>
  <si>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</si>
  <si>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</si>
  <si>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</si>
  <si>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</si>
  <si>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</si>
  <si>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</si>
  <si>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</si>
  <si>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</si>
  <si>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</si>
  <si>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</si>
  <si>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</si>
  <si>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</si>
  <si>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</si>
  <si>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</si>
  <si>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</si>
  <si>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</si>
  <si>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</si>
  <si>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</si>
  <si>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</si>
  <si>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</si>
  <si>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</si>
  <si>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</si>
  <si>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</si>
  <si>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</si>
  <si>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</si>
  <si>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</si>
  <si>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</si>
  <si>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</si>
  <si>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</si>
  <si>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</si>
  <si>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</si>
  <si>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</si>
  <si>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</si>
  <si>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</si>
  <si>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</si>
  <si>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</si>
  <si>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</si>
  <si>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</si>
  <si>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</si>
  <si>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</si>
  <si>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</si>
  <si>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</si>
  <si>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</si>
  <si>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</si>
  <si>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</si>
  <si>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</si>
  <si>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</si>
  <si>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</si>
  <si>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</si>
  <si>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</si>
  <si>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</si>
  <si>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</si>
  <si>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</si>
  <si>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</si>
  <si>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</si>
  <si>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</si>
  <si>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</si>
  <si>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</si>
  <si>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</si>
  <si>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</si>
  <si>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</si>
  <si>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</si>
  <si>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</si>
  <si>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</si>
  <si>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</si>
  <si>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</si>
  <si>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</si>
  <si>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</si>
  <si>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</si>
  <si>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</si>
  <si>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</si>
  <si>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</si>
  <si>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</si>
  <si>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</si>
  <si>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</si>
  <si>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</si>
  <si>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</si>
  <si>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</si>
  <si>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</si>
  <si>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</si>
  <si>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</si>
  <si>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</si>
  <si>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</si>
  <si>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</si>
  <si>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</si>
  <si>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</si>
  <si>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</si>
  <si>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</si>
  <si>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</si>
  <si>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</si>
  <si>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</si>
  <si>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</si>
  <si>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</si>
  <si>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</si>
  <si>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</si>
  <si>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</si>
  <si>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</si>
  <si>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</si>
  <si>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</si>
  <si>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</si>
  <si>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</si>
  <si>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</si>
  <si>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</si>
  <si>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</si>
  <si>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</si>
  <si>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</si>
  <si>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</si>
  <si>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</si>
  <si>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</si>
  <si>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</si>
  <si>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</si>
  <si>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</si>
  <si>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</si>
  <si>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</si>
  <si>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</si>
  <si>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</si>
  <si>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</si>
  <si>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</si>
  <si>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</si>
  <si>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</si>
  <si>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</si>
  <si>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</si>
  <si>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</si>
  <si>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</si>
  <si>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</si>
  <si>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</si>
  <si>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</si>
  <si>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</si>
  <si>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</si>
  <si>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</si>
  <si>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</si>
  <si>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</si>
  <si>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</si>
  <si>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</si>
  <si>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</si>
  <si>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</si>
  <si>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</si>
  <si>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</si>
  <si>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</si>
  <si>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</si>
  <si>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</si>
  <si>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</si>
  <si>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</si>
  <si>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</si>
  <si>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</si>
  <si>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</si>
  <si>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</si>
  <si>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</si>
  <si>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</si>
  <si>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</si>
  <si>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</si>
  <si>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</si>
  <si>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</si>
  <si>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</si>
  <si>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</si>
  <si>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</si>
  <si>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</si>
  <si>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</si>
  <si>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</si>
  <si>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</si>
  <si>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</si>
  <si>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</si>
  <si>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</si>
  <si>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</si>
  <si>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</si>
  <si>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</si>
  <si>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</si>
  <si>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</si>
  <si>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</si>
  <si>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</si>
  <si>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</si>
  <si>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</si>
  <si>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</si>
  <si>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</si>
  <si>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</si>
  <si>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</si>
  <si>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</si>
  <si>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</si>
  <si>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</si>
  <si>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</si>
  <si>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</si>
  <si>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</si>
  <si>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</si>
  <si>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</si>
  <si>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</si>
  <si>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</si>
  <si>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</si>
  <si>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</si>
  <si>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</si>
  <si>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</si>
  <si>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</si>
  <si>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</si>
  <si>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</si>
  <si>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</si>
  <si>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</si>
  <si>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</si>
  <si>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</si>
  <si>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</si>
  <si>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</si>
  <si>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</si>
  <si>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</si>
  <si>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</si>
  <si>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</si>
  <si>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</si>
  <si>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</si>
  <si>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</si>
  <si>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</si>
  <si>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</si>
  <si>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</si>
  <si>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</si>
  <si>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</si>
  <si>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</si>
  <si>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</si>
  <si>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</si>
  <si>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</si>
  <si>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</si>
  <si>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</si>
  <si>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</si>
  <si>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</si>
  <si>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</si>
  <si>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</si>
  <si>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</si>
  <si>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</si>
  <si>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</si>
  <si>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</si>
  <si>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</si>
  <si>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</si>
  <si>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</si>
  <si>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</si>
  <si>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</si>
  <si>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</si>
  <si>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</si>
  <si>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</si>
  <si>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</si>
  <si>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</si>
  <si>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</si>
  <si>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</si>
  <si>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</si>
  <si>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</si>
  <si>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</si>
  <si>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</si>
  <si>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</si>
  <si>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</si>
  <si>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</si>
  <si>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</si>
  <si>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</si>
  <si>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</si>
  <si>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</si>
  <si>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</si>
  <si>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</si>
  <si>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</si>
  <si>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</si>
  <si>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</si>
  <si>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</si>
  <si>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</si>
  <si>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</si>
  <si>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</si>
  <si>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</si>
  <si>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</si>
  <si>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</si>
  <si>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</si>
  <si>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</si>
  <si>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</si>
  <si>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</si>
  <si>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</si>
  <si>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</si>
  <si>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</si>
  <si>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</si>
  <si>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</si>
  <si>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</si>
  <si>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</si>
  <si>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</si>
  <si>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</si>
  <si>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</si>
  <si>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</si>
  <si>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</si>
  <si>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</si>
  <si>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</si>
  <si>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</si>
  <si>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</si>
  <si>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</si>
  <si>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</si>
  <si>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</si>
  <si>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</si>
  <si>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</si>
  <si>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</si>
  <si>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</si>
  <si>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</si>
  <si>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</si>
  <si>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</si>
  <si>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</si>
  <si>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</si>
  <si>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</si>
  <si>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</si>
  <si>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</si>
  <si>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06.08.15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</si>
</sst>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1" sqref="I81:I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293</v>
      </c>
      <c r="N3" s="259" t="s">
        <v>294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291</v>
      </c>
      <c r="F4" s="222" t="s">
        <v>116</v>
      </c>
      <c r="G4" s="244" t="s">
        <v>292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297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375788.72000000003</v>
      </c>
      <c r="G8" s="18">
        <f aca="true" t="shared" si="0" ref="G8:G54">F8-E8</f>
        <v>-37287.37999999989</v>
      </c>
      <c r="H8" s="45">
        <f>F8/E8*100</f>
        <v>90.97324197647845</v>
      </c>
      <c r="I8" s="31">
        <f aca="true" t="shared" si="1" ref="I8:I54">F8-D8</f>
        <v>-196500.27999999997</v>
      </c>
      <c r="J8" s="31">
        <f aca="true" t="shared" si="2" ref="J8:J14">F8/D8*100</f>
        <v>65.66415220282062</v>
      </c>
      <c r="K8" s="18">
        <f>K9+K15+K18+K19+K20+K32</f>
        <v>53144.396000000015</v>
      </c>
      <c r="L8" s="18"/>
      <c r="M8" s="18">
        <f>M9+M15+M18+M19+M20+M32+M17</f>
        <v>84902.7</v>
      </c>
      <c r="N8" s="18">
        <f>N9+N15+N18+N19+N20+N32+N17</f>
        <v>9016.490000000005</v>
      </c>
      <c r="O8" s="31">
        <f aca="true" t="shared" si="3" ref="O8:O54">N8-M8</f>
        <v>-75886.20999999999</v>
      </c>
      <c r="P8" s="31">
        <f>F8/M8*100</f>
        <v>442.61103592700823</v>
      </c>
      <c r="Q8" s="31">
        <f>N8-33748.16</f>
        <v>-24731.67</v>
      </c>
      <c r="R8" s="125">
        <f>N8/33748.16</f>
        <v>0.2671698249623092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208869.89</v>
      </c>
      <c r="G9" s="43">
        <f t="shared" si="0"/>
        <v>-13654.75999999998</v>
      </c>
      <c r="H9" s="35">
        <f aca="true" t="shared" si="4" ref="H9:H32">F9/E9*100</f>
        <v>93.86370903178593</v>
      </c>
      <c r="I9" s="50">
        <f t="shared" si="1"/>
        <v>-103820.10999999999</v>
      </c>
      <c r="J9" s="50">
        <f t="shared" si="2"/>
        <v>66.79775176692571</v>
      </c>
      <c r="K9" s="132">
        <f>F9-250278.43/75*60</f>
        <v>8647.146000000008</v>
      </c>
      <c r="L9" s="132">
        <f>F9/(250278.43/75*60)*100</f>
        <v>104.31876310715231</v>
      </c>
      <c r="M9" s="35">
        <f>E9-липень!E9</f>
        <v>34220</v>
      </c>
      <c r="N9" s="35">
        <f>F9-липень!F9</f>
        <v>5435.450000000012</v>
      </c>
      <c r="O9" s="47">
        <f t="shared" si="3"/>
        <v>-28784.54999999999</v>
      </c>
      <c r="P9" s="50">
        <f aca="true" t="shared" si="5" ref="P9:P32">N9/M9*100</f>
        <v>15.883839859731186</v>
      </c>
      <c r="Q9" s="132">
        <f>N9-26568.11</f>
        <v>-21132.65999999999</v>
      </c>
      <c r="R9" s="133">
        <f>N9/26568.11</f>
        <v>0.20458549742529716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184693.32</v>
      </c>
      <c r="G10" s="135">
        <f t="shared" si="0"/>
        <v>-11306.929999999993</v>
      </c>
      <c r="H10" s="137">
        <f t="shared" si="4"/>
        <v>94.23116552147255</v>
      </c>
      <c r="I10" s="136">
        <f t="shared" si="1"/>
        <v>-55716.67999999999</v>
      </c>
      <c r="J10" s="136">
        <f t="shared" si="2"/>
        <v>76.82430847302525</v>
      </c>
      <c r="K10" s="138">
        <f>F10-222647.03/75*60</f>
        <v>6575.696000000025</v>
      </c>
      <c r="L10" s="138">
        <f>F10/(222647.03/75*60)*100</f>
        <v>103.69177168004444</v>
      </c>
      <c r="M10" s="35">
        <f>E10-липень!E10</f>
        <v>30770</v>
      </c>
      <c r="N10" s="35">
        <f>F10-липень!F10</f>
        <v>4623.350000000006</v>
      </c>
      <c r="O10" s="138">
        <f t="shared" si="3"/>
        <v>-26146.649999999994</v>
      </c>
      <c r="P10" s="136">
        <f t="shared" si="5"/>
        <v>15.025511862203464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3101.17</v>
      </c>
      <c r="G12" s="135">
        <f t="shared" si="0"/>
        <v>-147.82999999999993</v>
      </c>
      <c r="H12" s="137">
        <f t="shared" si="4"/>
        <v>95.44998461064942</v>
      </c>
      <c r="I12" s="136">
        <f t="shared" si="1"/>
        <v>-2698.83</v>
      </c>
      <c r="J12" s="136">
        <f t="shared" si="2"/>
        <v>53.468448275862066</v>
      </c>
      <c r="K12" s="138">
        <f>F12-4856.12/75*60</f>
        <v>-783.7259999999997</v>
      </c>
      <c r="L12" s="138">
        <f>F12/(4856.12*60)*100</f>
        <v>1.0643511006043234</v>
      </c>
      <c r="M12" s="35">
        <f>E12-липень!E12</f>
        <v>420</v>
      </c>
      <c r="N12" s="35">
        <f>F12-липень!F12</f>
        <v>48.25</v>
      </c>
      <c r="O12" s="138">
        <f t="shared" si="3"/>
        <v>-371.75</v>
      </c>
      <c r="P12" s="136">
        <f t="shared" si="5"/>
        <v>11.488095238095237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4177.36</v>
      </c>
      <c r="G13" s="135">
        <f t="shared" si="0"/>
        <v>-1596.04</v>
      </c>
      <c r="H13" s="137">
        <f t="shared" si="4"/>
        <v>72.35528458100946</v>
      </c>
      <c r="I13" s="136">
        <f t="shared" si="1"/>
        <v>-4222.64</v>
      </c>
      <c r="J13" s="136">
        <f t="shared" si="2"/>
        <v>49.73047619047619</v>
      </c>
      <c r="K13" s="138">
        <f>F13-6838.4/75*60</f>
        <v>-1293.3599999999997</v>
      </c>
      <c r="L13" s="138">
        <f>F13/(6838.4/75*60)*100</f>
        <v>76.35850491343005</v>
      </c>
      <c r="M13" s="35">
        <f>E13-липень!E13</f>
        <v>660</v>
      </c>
      <c r="N13" s="35">
        <f>F13-липень!F13</f>
        <v>117.33999999999969</v>
      </c>
      <c r="O13" s="138">
        <f t="shared" si="3"/>
        <v>-542.6600000000003</v>
      </c>
      <c r="P13" s="136">
        <f t="shared" si="5"/>
        <v>17.77878787878783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F15-72.71</f>
        <v>-861.47</v>
      </c>
      <c r="L15" s="53">
        <f>F15/72.71*100</f>
        <v>-1084.802640627149</v>
      </c>
      <c r="M15" s="35">
        <f>E15-липень!E15</f>
        <v>0</v>
      </c>
      <c r="N15" s="35">
        <f>F15-липень!F15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37177.91</v>
      </c>
      <c r="G19" s="43">
        <f t="shared" si="0"/>
        <v>-6744.8399999999965</v>
      </c>
      <c r="H19" s="35">
        <f t="shared" si="4"/>
        <v>84.64385768195298</v>
      </c>
      <c r="I19" s="50">
        <f t="shared" si="1"/>
        <v>-25032.089999999997</v>
      </c>
      <c r="J19" s="178">
        <f>F19/D19*100</f>
        <v>59.76195145475005</v>
      </c>
      <c r="K19" s="179">
        <f>F19-0</f>
        <v>37177.91</v>
      </c>
      <c r="L19" s="180"/>
      <c r="M19" s="35">
        <f>E19-липень!E19</f>
        <v>17700</v>
      </c>
      <c r="N19" s="35">
        <f>F19-липень!F19</f>
        <v>53.30000000000291</v>
      </c>
      <c r="O19" s="47">
        <f t="shared" si="3"/>
        <v>-17646.699999999997</v>
      </c>
      <c r="P19" s="50">
        <f t="shared" si="5"/>
        <v>0.3011299435028413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126483.76</v>
      </c>
      <c r="G20" s="43">
        <f t="shared" si="0"/>
        <v>-14208.539999999994</v>
      </c>
      <c r="H20" s="35">
        <f t="shared" si="4"/>
        <v>89.90098249868686</v>
      </c>
      <c r="I20" s="50">
        <f t="shared" si="1"/>
        <v>-63386.240000000005</v>
      </c>
      <c r="J20" s="178">
        <f aca="true" t="shared" si="6" ref="J20:J46">F20/D20*100</f>
        <v>66.61597935429504</v>
      </c>
      <c r="K20" s="178">
        <f>K21+K25+K26+K27</f>
        <v>11501.810000000003</v>
      </c>
      <c r="L20" s="136"/>
      <c r="M20" s="35">
        <f>E20-липень!E20</f>
        <v>31232.59999999999</v>
      </c>
      <c r="N20" s="35">
        <f>F20-липень!F20</f>
        <v>3526.7699999999895</v>
      </c>
      <c r="O20" s="47">
        <f t="shared" si="3"/>
        <v>-27705.83</v>
      </c>
      <c r="P20" s="50">
        <f t="shared" si="5"/>
        <v>11.29195135851639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68817.31</v>
      </c>
      <c r="G21" s="43">
        <f t="shared" si="0"/>
        <v>-8362.990000000005</v>
      </c>
      <c r="H21" s="35">
        <f t="shared" si="4"/>
        <v>89.16434634226609</v>
      </c>
      <c r="I21" s="50">
        <f t="shared" si="1"/>
        <v>-41482.69</v>
      </c>
      <c r="J21" s="178">
        <f t="shared" si="6"/>
        <v>62.39103354487761</v>
      </c>
      <c r="K21" s="178">
        <f>K22+K23+K24</f>
        <v>14235.770000000002</v>
      </c>
      <c r="L21" s="136"/>
      <c r="M21" s="35">
        <f>E21-липень!E21</f>
        <v>19677.100000000006</v>
      </c>
      <c r="N21" s="35">
        <f>F21-липень!F21</f>
        <v>950.1300000000047</v>
      </c>
      <c r="O21" s="47">
        <f t="shared" si="3"/>
        <v>-18726.97</v>
      </c>
      <c r="P21" s="50">
        <f t="shared" si="5"/>
        <v>4.828607874127815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8526.51</v>
      </c>
      <c r="G22" s="135">
        <f t="shared" si="0"/>
        <v>-96.78999999999905</v>
      </c>
      <c r="H22" s="137">
        <f t="shared" si="4"/>
        <v>98.87757587002656</v>
      </c>
      <c r="I22" s="136">
        <f t="shared" si="1"/>
        <v>-2173.49</v>
      </c>
      <c r="J22" s="136">
        <f t="shared" si="6"/>
        <v>79.6870093457944</v>
      </c>
      <c r="K22" s="136">
        <f>F22-288.8</f>
        <v>8237.710000000001</v>
      </c>
      <c r="L22" s="136">
        <f>F22/288.8*100</f>
        <v>2952.3926592797784</v>
      </c>
      <c r="M22" s="35">
        <f>E22-липень!E22</f>
        <v>8044.099999999999</v>
      </c>
      <c r="N22" s="35">
        <f>F22-липень!F22</f>
        <v>70.52000000000044</v>
      </c>
      <c r="O22" s="138">
        <f t="shared" si="3"/>
        <v>-7973.579999999999</v>
      </c>
      <c r="P22" s="136">
        <f t="shared" si="5"/>
        <v>0.8766673711167245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964.45</v>
      </c>
      <c r="G23" s="135">
        <f t="shared" si="0"/>
        <v>-513.55</v>
      </c>
      <c r="H23" s="137"/>
      <c r="I23" s="136">
        <f t="shared" si="1"/>
        <v>-1135.55</v>
      </c>
      <c r="J23" s="136">
        <f t="shared" si="6"/>
        <v>45.92619047619048</v>
      </c>
      <c r="K23" s="136">
        <f>F23-0</f>
        <v>964.45</v>
      </c>
      <c r="L23" s="136"/>
      <c r="M23" s="35">
        <f>E23-липень!E23</f>
        <v>1103</v>
      </c>
      <c r="N23" s="35">
        <f>F23-липень!F23</f>
        <v>191.25</v>
      </c>
      <c r="O23" s="138">
        <f t="shared" si="3"/>
        <v>-911.75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59326.35</v>
      </c>
      <c r="G24" s="135">
        <f t="shared" si="0"/>
        <v>-7752.6500000000015</v>
      </c>
      <c r="H24" s="137">
        <f t="shared" si="4"/>
        <v>88.44250808747894</v>
      </c>
      <c r="I24" s="136">
        <f t="shared" si="1"/>
        <v>-38173.65</v>
      </c>
      <c r="J24" s="136">
        <f t="shared" si="6"/>
        <v>60.84753846153846</v>
      </c>
      <c r="K24" s="139">
        <f>F24-54292.74</f>
        <v>5033.610000000001</v>
      </c>
      <c r="L24" s="139">
        <f>F24/54292.74*100</f>
        <v>109.27123958009857</v>
      </c>
      <c r="M24" s="35">
        <f>E24-липень!E24</f>
        <v>10530</v>
      </c>
      <c r="N24" s="35">
        <f>F24-липень!F24</f>
        <v>688.3600000000006</v>
      </c>
      <c r="O24" s="138">
        <f t="shared" si="3"/>
        <v>-9841.64</v>
      </c>
      <c r="P24" s="136">
        <f t="shared" si="5"/>
        <v>6.537132003798677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41.66</v>
      </c>
      <c r="G25" s="43">
        <f t="shared" si="0"/>
        <v>6.159999999999997</v>
      </c>
      <c r="H25" s="35">
        <f t="shared" si="4"/>
        <v>117.35211267605632</v>
      </c>
      <c r="I25" s="50">
        <f t="shared" si="1"/>
        <v>-28.340000000000003</v>
      </c>
      <c r="J25" s="178">
        <f t="shared" si="6"/>
        <v>59.514285714285705</v>
      </c>
      <c r="K25" s="178">
        <f>F25-41.08</f>
        <v>0.5799999999999983</v>
      </c>
      <c r="L25" s="178">
        <f>F25/41.08*100</f>
        <v>101.41187925998052</v>
      </c>
      <c r="M25" s="35">
        <f>E25-липень!E25</f>
        <v>5.5</v>
      </c>
      <c r="N25" s="35">
        <f>F25-липень!F25</f>
        <v>0</v>
      </c>
      <c r="O25" s="47">
        <f t="shared" si="3"/>
        <v>-5.5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-579.02</v>
      </c>
      <c r="G26" s="43">
        <f t="shared" si="0"/>
        <v>-579.02</v>
      </c>
      <c r="H26" s="35"/>
      <c r="I26" s="50">
        <f t="shared" si="1"/>
        <v>-579.02</v>
      </c>
      <c r="J26" s="136"/>
      <c r="K26" s="178">
        <f>F26-4244.7</f>
        <v>-4823.719999999999</v>
      </c>
      <c r="L26" s="178">
        <f>F26/4244.7*100</f>
        <v>-13.641011143308127</v>
      </c>
      <c r="M26" s="35">
        <f>E26-липень!E26</f>
        <v>0</v>
      </c>
      <c r="N26" s="35">
        <f>F26-липень!F26</f>
        <v>-48.65999999999997</v>
      </c>
      <c r="O26" s="47">
        <f t="shared" si="3"/>
        <v>-48.65999999999997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58203.81</v>
      </c>
      <c r="G27" s="43">
        <f t="shared" si="0"/>
        <v>-5272.690000000002</v>
      </c>
      <c r="H27" s="35">
        <f t="shared" si="4"/>
        <v>91.69347711357746</v>
      </c>
      <c r="I27" s="50">
        <f t="shared" si="1"/>
        <v>-21296.190000000002</v>
      </c>
      <c r="J27" s="178">
        <f t="shared" si="6"/>
        <v>73.21233962264151</v>
      </c>
      <c r="K27" s="132">
        <f>F27-56114.63</f>
        <v>2089.1800000000003</v>
      </c>
      <c r="L27" s="132">
        <f>F27/56114.63*100</f>
        <v>103.72305760547651</v>
      </c>
      <c r="M27" s="35">
        <f>E27-липень!E27</f>
        <v>11550</v>
      </c>
      <c r="N27" s="35">
        <f>F27-липень!F27</f>
        <v>2625.2999999999956</v>
      </c>
      <c r="O27" s="47">
        <f t="shared" si="3"/>
        <v>-8924.700000000004</v>
      </c>
      <c r="P27" s="50">
        <f t="shared" si="5"/>
        <v>22.729870129870093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14043.02</v>
      </c>
      <c r="G29" s="135">
        <f t="shared" si="0"/>
        <v>-1536.9799999999996</v>
      </c>
      <c r="H29" s="137">
        <f t="shared" si="4"/>
        <v>90.13491655969192</v>
      </c>
      <c r="I29" s="136">
        <f t="shared" si="1"/>
        <v>-5156.98</v>
      </c>
      <c r="J29" s="136">
        <f t="shared" si="6"/>
        <v>73.14072916666667</v>
      </c>
      <c r="K29" s="139">
        <f>F29-15615.32</f>
        <v>-1572.2999999999993</v>
      </c>
      <c r="L29" s="139">
        <f>F29/15615.32*100</f>
        <v>89.9310420791889</v>
      </c>
      <c r="M29" s="35">
        <f>E29-липень!E29</f>
        <v>3340</v>
      </c>
      <c r="N29" s="35">
        <f>F29-липень!F29</f>
        <v>964.1599999999999</v>
      </c>
      <c r="O29" s="138">
        <f t="shared" si="3"/>
        <v>-2375.84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44152.19</v>
      </c>
      <c r="G30" s="135">
        <f t="shared" si="0"/>
        <v>-3744.3099999999977</v>
      </c>
      <c r="H30" s="137">
        <f t="shared" si="4"/>
        <v>92.18249767728331</v>
      </c>
      <c r="I30" s="136">
        <f t="shared" si="1"/>
        <v>-16147.809999999998</v>
      </c>
      <c r="J30" s="136">
        <f t="shared" si="6"/>
        <v>73.22087893864013</v>
      </c>
      <c r="K30" s="139">
        <f>F30-40498.93</f>
        <v>3653.260000000002</v>
      </c>
      <c r="L30" s="139">
        <f>F30/40498.93*100</f>
        <v>109.0206333846351</v>
      </c>
      <c r="M30" s="35">
        <f>E30-липень!E30</f>
        <v>8210</v>
      </c>
      <c r="N30" s="35">
        <f>F30-липень!F30</f>
        <v>1661.1500000000015</v>
      </c>
      <c r="O30" s="138">
        <f t="shared" si="3"/>
        <v>-6548.8499999999985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4030.03</v>
      </c>
      <c r="G32" s="43">
        <f t="shared" si="0"/>
        <v>-1722.0700000000002</v>
      </c>
      <c r="H32" s="35">
        <f t="shared" si="4"/>
        <v>70.0618904400132</v>
      </c>
      <c r="I32" s="50">
        <f t="shared" si="1"/>
        <v>-3469.97</v>
      </c>
      <c r="J32" s="178">
        <f t="shared" si="6"/>
        <v>53.73373333333333</v>
      </c>
      <c r="K32" s="178">
        <f>F32-7363.52</f>
        <v>-3333.4900000000002</v>
      </c>
      <c r="L32" s="178">
        <f>F32/5308.17*100</f>
        <v>75.9212685351072</v>
      </c>
      <c r="M32" s="35">
        <f>E32-липень!E32</f>
        <v>1750.1000000000004</v>
      </c>
      <c r="N32" s="35">
        <f>F32-липень!F32</f>
        <v>0.9700000000002547</v>
      </c>
      <c r="O32" s="47">
        <f t="shared" si="3"/>
        <v>-1749.13</v>
      </c>
      <c r="P32" s="50">
        <f t="shared" si="5"/>
        <v>0.05542540426262811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20160.1</v>
      </c>
      <c r="G33" s="44">
        <f t="shared" si="0"/>
        <v>69.89999999999782</v>
      </c>
      <c r="H33" s="45">
        <f>F33/E33*100</f>
        <v>100.3479308319479</v>
      </c>
      <c r="I33" s="31">
        <f t="shared" si="1"/>
        <v>-8547</v>
      </c>
      <c r="J33" s="31">
        <f t="shared" si="6"/>
        <v>70.22687767137747</v>
      </c>
      <c r="K33" s="18">
        <f>K34+K35+K36+K37+K38+K41+K42+K47+K48+K52+K40</f>
        <v>11552.11</v>
      </c>
      <c r="L33" s="18"/>
      <c r="M33" s="18">
        <f>M34+M35+M36+M37+M38+M41+M42+M47+M48+M52+M40+M39</f>
        <v>12920.2</v>
      </c>
      <c r="N33" s="18">
        <f>N34+N35+N36+N37+N38+N41+N42+N47+N48+N52+N40+N39</f>
        <v>1334.87</v>
      </c>
      <c r="O33" s="49">
        <f t="shared" si="3"/>
        <v>-11585.330000000002</v>
      </c>
      <c r="P33" s="31">
        <f>N33/M33*100</f>
        <v>10.33165121282952</v>
      </c>
      <c r="Q33" s="31">
        <f>N33-1017.63</f>
        <v>317.2399999999999</v>
      </c>
      <c r="R33" s="127">
        <f>N33/1017.63</f>
        <v>1.3117439540894038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278.13</v>
      </c>
      <c r="G36" s="43">
        <f t="shared" si="0"/>
        <v>38.129999999999995</v>
      </c>
      <c r="H36" s="35"/>
      <c r="I36" s="50">
        <f t="shared" si="1"/>
        <v>38.129999999999995</v>
      </c>
      <c r="J36" s="50"/>
      <c r="K36" s="50">
        <f>F36-255.77</f>
        <v>22.359999999999985</v>
      </c>
      <c r="L36" s="50">
        <f>F36/255.77*100</f>
        <v>108.74222934667866</v>
      </c>
      <c r="M36" s="35">
        <f>E36-липень!E36</f>
        <v>240</v>
      </c>
      <c r="N36" s="35">
        <f>F36-липень!F36</f>
        <v>31.639999999999986</v>
      </c>
      <c r="O36" s="47">
        <f t="shared" si="3"/>
        <v>-208.36</v>
      </c>
      <c r="P36" s="50"/>
      <c r="Q36" s="50">
        <f>N36-4.23</f>
        <v>27.409999999999986</v>
      </c>
      <c r="R36" s="126">
        <f>N36/4.23</f>
        <v>7.479905437352242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91.59</v>
      </c>
      <c r="G38" s="43">
        <f t="shared" si="0"/>
        <v>1.5900000000000034</v>
      </c>
      <c r="H38" s="35">
        <f>F38/E38*100</f>
        <v>101.76666666666667</v>
      </c>
      <c r="I38" s="50">
        <f t="shared" si="1"/>
        <v>-48.41</v>
      </c>
      <c r="J38" s="50">
        <f t="shared" si="6"/>
        <v>65.42142857142858</v>
      </c>
      <c r="K38" s="50">
        <f>F38-82.36</f>
        <v>9.230000000000004</v>
      </c>
      <c r="L38" s="50">
        <f>F38/82.36*100</f>
        <v>111.20689655172413</v>
      </c>
      <c r="M38" s="35">
        <f>E38-липень!E38</f>
        <v>10</v>
      </c>
      <c r="N38" s="35">
        <f>F38-липень!F38</f>
        <v>1.3500000000000085</v>
      </c>
      <c r="O38" s="47">
        <f t="shared" si="3"/>
        <v>-8.649999999999991</v>
      </c>
      <c r="P38" s="50">
        <f>N38/M38*100</f>
        <v>13.500000000000083</v>
      </c>
      <c r="Q38" s="50">
        <f>N38-9.02</f>
        <v>-7.669999999999991</v>
      </c>
      <c r="R38" s="126">
        <f>N38/9.02</f>
        <v>0.1496674057649677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E39-липень!E39</f>
        <v>0</v>
      </c>
      <c r="N39" s="35">
        <f>F39-липень!F39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6109.39</v>
      </c>
      <c r="G40" s="43"/>
      <c r="H40" s="35"/>
      <c r="I40" s="50">
        <f t="shared" si="1"/>
        <v>-2890.6099999999997</v>
      </c>
      <c r="J40" s="50"/>
      <c r="K40" s="50">
        <f>F40-0</f>
        <v>6109.39</v>
      </c>
      <c r="L40" s="50"/>
      <c r="M40" s="35">
        <f>E40-липень!E40</f>
        <v>6937</v>
      </c>
      <c r="N40" s="35">
        <f>F40-липень!F40</f>
        <v>171.73000000000047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5864.98</v>
      </c>
      <c r="G41" s="43">
        <f t="shared" si="0"/>
        <v>1244.9799999999996</v>
      </c>
      <c r="H41" s="35">
        <f>F41/E41*100</f>
        <v>126.94761904761904</v>
      </c>
      <c r="I41" s="50">
        <f t="shared" si="1"/>
        <v>-1035.0200000000004</v>
      </c>
      <c r="J41" s="50">
        <f t="shared" si="6"/>
        <v>84.99971014492753</v>
      </c>
      <c r="K41" s="50">
        <f>F41-4735.68</f>
        <v>1129.2999999999993</v>
      </c>
      <c r="L41" s="50">
        <f>F41/4735.68*100</f>
        <v>123.8466281505507</v>
      </c>
      <c r="M41" s="35">
        <f>E41-липень!E41</f>
        <v>550</v>
      </c>
      <c r="N41" s="35">
        <f>F41-липень!F41</f>
        <v>723.2399999999998</v>
      </c>
      <c r="O41" s="47">
        <f t="shared" si="3"/>
        <v>173.23999999999978</v>
      </c>
      <c r="P41" s="50">
        <f>N41/M41*100</f>
        <v>131.4981818181818</v>
      </c>
      <c r="Q41" s="50">
        <f>N41-647.49</f>
        <v>75.74999999999977</v>
      </c>
      <c r="R41" s="126">
        <f>N41/647.49</f>
        <v>1.1169902237872396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4808.86</v>
      </c>
      <c r="G42" s="43">
        <f t="shared" si="0"/>
        <v>-385.84000000000015</v>
      </c>
      <c r="H42" s="35">
        <f>F42/E42*100</f>
        <v>92.57242959169922</v>
      </c>
      <c r="I42" s="50">
        <f t="shared" si="1"/>
        <v>-2291.1400000000003</v>
      </c>
      <c r="J42" s="50">
        <f t="shared" si="6"/>
        <v>67.73042253521126</v>
      </c>
      <c r="K42" s="50">
        <f>F42-685.66</f>
        <v>4123.2</v>
      </c>
      <c r="L42" s="50">
        <f>F42/685.66*100</f>
        <v>701.3476066855293</v>
      </c>
      <c r="M42" s="35">
        <f>E42-липень!E42</f>
        <v>4632.7</v>
      </c>
      <c r="N42" s="35">
        <f>F42-липень!F42</f>
        <v>116.67999999999938</v>
      </c>
      <c r="O42" s="47">
        <f t="shared" si="3"/>
        <v>-4516.02</v>
      </c>
      <c r="P42" s="50">
        <f>N42/M42*100</f>
        <v>2.518617652772668</v>
      </c>
      <c r="Q42" s="50">
        <f>N42-79.51</f>
        <v>37.169999999999376</v>
      </c>
      <c r="R42" s="126">
        <f>N42/79.51</f>
        <v>1.4674883662432319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689.95</v>
      </c>
      <c r="G43" s="135">
        <f t="shared" si="0"/>
        <v>-70.04999999999995</v>
      </c>
      <c r="H43" s="137">
        <f>F43/E43*100</f>
        <v>90.78289473684211</v>
      </c>
      <c r="I43" s="136">
        <f t="shared" si="1"/>
        <v>-410.04999999999995</v>
      </c>
      <c r="J43" s="136">
        <f t="shared" si="6"/>
        <v>62.722727272727276</v>
      </c>
      <c r="K43" s="136">
        <f>F43-605.31</f>
        <v>84.6400000000001</v>
      </c>
      <c r="L43" s="136">
        <f>F43/605.31*100</f>
        <v>113.9829178437495</v>
      </c>
      <c r="M43" s="35">
        <f>E43-липень!E43</f>
        <v>270</v>
      </c>
      <c r="N43" s="35">
        <f>F43-липень!F43</f>
        <v>16.370000000000005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4072.73</v>
      </c>
      <c r="G46" s="135">
        <f t="shared" si="0"/>
        <v>-311.27</v>
      </c>
      <c r="H46" s="137">
        <f>F46/E46*100</f>
        <v>92.89986313868613</v>
      </c>
      <c r="I46" s="136">
        <f t="shared" si="1"/>
        <v>-1845.27</v>
      </c>
      <c r="J46" s="136">
        <f t="shared" si="6"/>
        <v>68.81936465021967</v>
      </c>
      <c r="K46" s="136">
        <f>F46-80.35</f>
        <v>3992.38</v>
      </c>
      <c r="L46" s="136">
        <f>F46/80.35*100</f>
        <v>5068.736776602364</v>
      </c>
      <c r="M46" s="35">
        <f>E46-липень!E46</f>
        <v>4312</v>
      </c>
      <c r="N46" s="35">
        <f>F46-липень!F46</f>
        <v>124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2700.78</v>
      </c>
      <c r="G48" s="43">
        <f t="shared" si="0"/>
        <v>0.7800000000002001</v>
      </c>
      <c r="H48" s="35">
        <f>F48/E48*100</f>
        <v>100.0288888888889</v>
      </c>
      <c r="I48" s="50">
        <f t="shared" si="1"/>
        <v>-1499.2199999999998</v>
      </c>
      <c r="J48" s="50">
        <f>F48/D48*100</f>
        <v>64.30428571428571</v>
      </c>
      <c r="K48" s="50">
        <f>F48-2702.66</f>
        <v>-1.8799999999996544</v>
      </c>
      <c r="L48" s="50">
        <f>F48/2702.66*100</f>
        <v>99.93043890093465</v>
      </c>
      <c r="M48" s="35">
        <f>E48-липень!E48</f>
        <v>350</v>
      </c>
      <c r="N48" s="35">
        <f>F48-липень!F48</f>
        <v>88.86000000000013</v>
      </c>
      <c r="O48" s="47">
        <f t="shared" si="3"/>
        <v>-261.1399999999999</v>
      </c>
      <c r="P48" s="50">
        <f aca="true" t="shared" si="7" ref="P48:P53">N48/M48*100</f>
        <v>25.388571428571467</v>
      </c>
      <c r="Q48" s="50">
        <f>N48-277.38</f>
        <v>-188.51999999999987</v>
      </c>
      <c r="R48" s="126">
        <f>N48/277.38</f>
        <v>0.3203547479991352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706.9</v>
      </c>
      <c r="G51" s="135">
        <f t="shared" si="0"/>
        <v>706.9</v>
      </c>
      <c r="H51" s="137"/>
      <c r="I51" s="136">
        <f t="shared" si="1"/>
        <v>706.9</v>
      </c>
      <c r="J51" s="136"/>
      <c r="K51" s="219">
        <f>F51-635.8</f>
        <v>71.10000000000002</v>
      </c>
      <c r="L51" s="219">
        <f>F51/635.8*100</f>
        <v>111.1827618748034</v>
      </c>
      <c r="M51" s="137">
        <f>E51-липень!E51</f>
        <v>0</v>
      </c>
      <c r="N51" s="137">
        <f>F51-липень!F51</f>
        <v>23.699999999999932</v>
      </c>
      <c r="O51" s="138">
        <f t="shared" si="3"/>
        <v>23.699999999999932</v>
      </c>
      <c r="P51" s="136"/>
      <c r="Q51" s="50">
        <f>N51-64.93</f>
        <v>-41.230000000000075</v>
      </c>
      <c r="R51" s="126">
        <f>N51/64.93</f>
        <v>0.36500847066071046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0.23</v>
      </c>
      <c r="G54" s="43">
        <f t="shared" si="0"/>
        <v>0.23</v>
      </c>
      <c r="H54" s="35"/>
      <c r="I54" s="50">
        <f t="shared" si="1"/>
        <v>0.23</v>
      </c>
      <c r="J54" s="50"/>
      <c r="K54" s="50">
        <f>F54-0.37</f>
        <v>-0.13999999999999999</v>
      </c>
      <c r="L54" s="50"/>
      <c r="M54" s="35">
        <f>E54-липень!E54</f>
        <v>0</v>
      </c>
      <c r="N54" s="35">
        <f>F54-липень!F54</f>
        <v>0.13</v>
      </c>
      <c r="O54" s="47">
        <f t="shared" si="3"/>
        <v>0.13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395963.47</v>
      </c>
      <c r="G55" s="44">
        <f>F55-E55</f>
        <v>-37220.02999999997</v>
      </c>
      <c r="H55" s="45">
        <f>F55/E55*100</f>
        <v>91.40779138632935</v>
      </c>
      <c r="I55" s="31">
        <f>F55-D55</f>
        <v>-205059.13</v>
      </c>
      <c r="J55" s="31">
        <f>F55/D55*100</f>
        <v>65.88162741301242</v>
      </c>
      <c r="K55" s="31">
        <f>K8+K33+K53+K54</f>
        <v>64693.55600000002</v>
      </c>
      <c r="L55" s="31">
        <f>F55/(F55-K55)*100</f>
        <v>119.52895607658473</v>
      </c>
      <c r="M55" s="18">
        <f>M8+M33+M53+M54</f>
        <v>97825.09999999999</v>
      </c>
      <c r="N55" s="18">
        <f>N8+N33+N53+N54</f>
        <v>10351.490000000003</v>
      </c>
      <c r="O55" s="49">
        <f>N55-M55</f>
        <v>-87473.60999999999</v>
      </c>
      <c r="P55" s="31">
        <f>N55/M55*100</f>
        <v>10.581629867999117</v>
      </c>
      <c r="Q55" s="31">
        <f>N55-34768</f>
        <v>-24416.509999999995</v>
      </c>
      <c r="R55" s="171">
        <f>N55/34768</f>
        <v>0.29773038426138987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3579.75</v>
      </c>
      <c r="G65" s="43">
        <f t="shared" si="8"/>
        <v>-1153.6899999999996</v>
      </c>
      <c r="H65" s="35">
        <f>F65/E65*100</f>
        <v>75.62681686046511</v>
      </c>
      <c r="I65" s="53">
        <f t="shared" si="9"/>
        <v>-7996.25</v>
      </c>
      <c r="J65" s="53">
        <f t="shared" si="11"/>
        <v>30.923894263994473</v>
      </c>
      <c r="K65" s="53">
        <f>F65-2291.79</f>
        <v>1287.96</v>
      </c>
      <c r="L65" s="53">
        <f>F65/2291.79*100</f>
        <v>156.19886638828163</v>
      </c>
      <c r="M65" s="35">
        <f>E65-липень!E65</f>
        <v>1020.6799999999994</v>
      </c>
      <c r="N65" s="35">
        <f>F65-липень!F65</f>
        <v>0</v>
      </c>
      <c r="O65" s="47">
        <f t="shared" si="10"/>
        <v>-1020.6799999999994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5991.37</v>
      </c>
      <c r="G67" s="55">
        <f t="shared" si="8"/>
        <v>-778.7699999999995</v>
      </c>
      <c r="H67" s="65">
        <f>F67/E67*100</f>
        <v>88.4969882454425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1080.2800000000002</v>
      </c>
      <c r="L67" s="54"/>
      <c r="M67" s="55">
        <f>M64+M65+M66</f>
        <v>1768.7799999999993</v>
      </c>
      <c r="N67" s="55">
        <f>N64+N65+N66</f>
        <v>0</v>
      </c>
      <c r="O67" s="54">
        <f t="shared" si="10"/>
        <v>-1768.7799999999993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20.55</v>
      </c>
      <c r="G72" s="43">
        <f>F72-E72</f>
        <v>-2.669999999999998</v>
      </c>
      <c r="H72" s="35">
        <f>F72/E72*100</f>
        <v>88.50129198966408</v>
      </c>
      <c r="I72" s="53">
        <f>F72-D72</f>
        <v>-21.45</v>
      </c>
      <c r="J72" s="53">
        <f>F72/D72*100</f>
        <v>48.92857142857143</v>
      </c>
      <c r="K72" s="53">
        <f>F72-22.62</f>
        <v>-2.0700000000000003</v>
      </c>
      <c r="L72" s="53">
        <f>F72/22.62*100</f>
        <v>90.84880636604774</v>
      </c>
      <c r="M72" s="35">
        <f>E72-липень!E72</f>
        <v>0.23000000000000043</v>
      </c>
      <c r="N72" s="35">
        <f>F72-липень!F72</f>
        <v>0</v>
      </c>
      <c r="O72" s="47">
        <f>N72-M72</f>
        <v>-0.23000000000000043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5963.829999999999</v>
      </c>
      <c r="G74" s="44">
        <f>F74-E74</f>
        <v>-856.5300000000007</v>
      </c>
      <c r="H74" s="45">
        <f>F74/E74*100</f>
        <v>87.441571999132</v>
      </c>
      <c r="I74" s="31">
        <f>F74-D74</f>
        <v>-11208.170000000002</v>
      </c>
      <c r="J74" s="31">
        <f>F74/D74*100</f>
        <v>34.729967388772415</v>
      </c>
      <c r="K74" s="31">
        <f>K62+K67+K71+K72</f>
        <v>789.0600000000002</v>
      </c>
      <c r="L74" s="31"/>
      <c r="M74" s="27">
        <f>M62+M72+M67+M71</f>
        <v>1770.0099999999993</v>
      </c>
      <c r="N74" s="27">
        <f>N62+N72+N67+N71+N73</f>
        <v>0.09</v>
      </c>
      <c r="O74" s="31">
        <f>N74-M74</f>
        <v>-1769.9199999999994</v>
      </c>
      <c r="P74" s="31">
        <f>N74/M74*100</f>
        <v>0.005084717035496977</v>
      </c>
      <c r="Q74" s="31">
        <f>N74-8104.96</f>
        <v>-8104.87</v>
      </c>
      <c r="R74" s="127">
        <f>N74/8104.96</f>
        <v>1.1104311433986102E-05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401927.3</v>
      </c>
      <c r="G75" s="44">
        <f>F75-E75</f>
        <v>-38076.55999999994</v>
      </c>
      <c r="H75" s="45">
        <f>F75/E75*100</f>
        <v>91.34631228007865</v>
      </c>
      <c r="I75" s="31">
        <f>F75-D75</f>
        <v>-216267.3</v>
      </c>
      <c r="J75" s="31">
        <f>F75/D75*100</f>
        <v>65.01630716282543</v>
      </c>
      <c r="K75" s="31">
        <f>K55+K74</f>
        <v>65482.616000000016</v>
      </c>
      <c r="L75" s="31">
        <f>F75/(F75-K75)*100</f>
        <v>119.46311507183749</v>
      </c>
      <c r="M75" s="18">
        <f>M55+M74</f>
        <v>99595.10999999999</v>
      </c>
      <c r="N75" s="18">
        <f>N55+N74</f>
        <v>10351.580000000004</v>
      </c>
      <c r="O75" s="31">
        <f>N75-M75</f>
        <v>-89243.52999999998</v>
      </c>
      <c r="P75" s="31">
        <f>N75/M75*100</f>
        <v>10.39366290172279</v>
      </c>
      <c r="Q75" s="31">
        <f>N75-42872.96</f>
        <v>-32521.379999999997</v>
      </c>
      <c r="R75" s="127">
        <f>N75/42872.96</f>
        <v>0.24144775634805724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5467.100624999999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42222</v>
      </c>
      <c r="D79" s="34">
        <v>3051.4</v>
      </c>
      <c r="N79" s="232"/>
      <c r="O79" s="232"/>
    </row>
    <row r="80" spans="3:15" ht="15.75">
      <c r="C80" s="111">
        <v>42221</v>
      </c>
      <c r="D80" s="34">
        <v>2867.6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42220</v>
      </c>
      <c r="D81" s="34">
        <v>2811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23677.74364</v>
      </c>
      <c r="E83" s="73"/>
      <c r="F83" s="156" t="s">
        <v>147</v>
      </c>
      <c r="G83" s="229" t="s">
        <v>149</v>
      </c>
      <c r="H83" s="229"/>
      <c r="I83" s="107">
        <v>14768.01143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22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22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22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22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22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22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2015-08-06T07:39:31Z</cp:lastPrinted>
  <dcterms:created xsi:type="dcterms:W3CDTF">2003-07-28T11:27:56Z</dcterms:created>
  <dcterms:modified xsi:type="dcterms:W3CDTF">2015-08-07T08:01:03Z</dcterms:modified>
  <cp:category/>
  <cp:version/>
  <cp:contentType/>
  <cp:contentStatus/>
</cp:coreProperties>
</file>